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e/Desktop/Document Copil en attente/"/>
    </mc:Choice>
  </mc:AlternateContent>
  <xr:revisionPtr revIDLastSave="0" documentId="8_{079EC011-75EE-2343-8F18-CF44471F7270}" xr6:coauthVersionLast="47" xr6:coauthVersionMax="47" xr10:uidLastSave="{00000000-0000-0000-0000-000000000000}"/>
  <bookViews>
    <workbookView xWindow="-43960" yWindow="-8340" windowWidth="34920" windowHeight="23280" activeTab="1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D14" i="1"/>
  <c r="E14" i="1" s="1"/>
  <c r="D13" i="1"/>
  <c r="E13" i="1" s="1"/>
  <c r="D12" i="1"/>
  <c r="E12" i="1" s="1"/>
  <c r="C14" i="1"/>
  <c r="C13" i="1"/>
  <c r="C12" i="1"/>
  <c r="C6" i="1"/>
  <c r="D6" i="1" s="1"/>
  <c r="E6" i="1" s="1"/>
  <c r="B1" i="3"/>
  <c r="D17" i="3" s="1"/>
  <c r="B1" i="2"/>
  <c r="C7" i="2" s="1"/>
  <c r="D7" i="2" s="1"/>
  <c r="D16" i="1"/>
  <c r="E16" i="1" s="1"/>
  <c r="C16" i="1"/>
  <c r="D15" i="1"/>
  <c r="E15" i="1" s="1"/>
  <c r="D15" i="2" s="1"/>
  <c r="C15" i="1"/>
  <c r="C8" i="1"/>
  <c r="D8" i="1" s="1"/>
  <c r="E8" i="1" s="1"/>
  <c r="C7" i="1"/>
  <c r="D7" i="1" s="1"/>
  <c r="E7" i="1" s="1"/>
  <c r="C24" i="3" l="1"/>
  <c r="C25" i="3"/>
  <c r="C26" i="3"/>
  <c r="D22" i="3"/>
  <c r="E22" i="3" s="1"/>
  <c r="D23" i="3"/>
  <c r="E23" i="3" s="1"/>
  <c r="D24" i="3"/>
  <c r="E24" i="3" s="1"/>
  <c r="C22" i="3"/>
  <c r="D25" i="3"/>
  <c r="E25" i="3" s="1"/>
  <c r="C23" i="3"/>
  <c r="D26" i="3"/>
  <c r="E26" i="3" s="1"/>
  <c r="D7" i="3"/>
  <c r="C5" i="3"/>
  <c r="D8" i="3"/>
  <c r="E8" i="3" s="1"/>
  <c r="C6" i="3"/>
  <c r="D9" i="3"/>
  <c r="E9" i="3" s="1"/>
  <c r="C7" i="3"/>
  <c r="C8" i="2"/>
  <c r="D8" i="2" s="1"/>
  <c r="D5" i="3"/>
  <c r="E5" i="3" s="1"/>
  <c r="D6" i="3"/>
  <c r="C5" i="2"/>
  <c r="D5" i="2" s="1"/>
  <c r="C8" i="3"/>
  <c r="C9" i="3"/>
  <c r="E6" i="2"/>
  <c r="D14" i="2"/>
  <c r="C14" i="2"/>
  <c r="C15" i="2"/>
  <c r="E7" i="2"/>
  <c r="D12" i="2"/>
  <c r="C12" i="2"/>
  <c r="D16" i="2"/>
  <c r="C16" i="2"/>
  <c r="E8" i="2"/>
  <c r="D13" i="2"/>
  <c r="C13" i="2"/>
  <c r="E5" i="2"/>
  <c r="C14" i="3"/>
  <c r="D14" i="3"/>
  <c r="C15" i="3"/>
  <c r="C6" i="2"/>
  <c r="D6" i="2" s="1"/>
  <c r="E6" i="3"/>
  <c r="D15" i="3"/>
  <c r="C16" i="3"/>
  <c r="D16" i="3"/>
  <c r="E7" i="3"/>
  <c r="C13" i="3"/>
  <c r="C17" i="3"/>
  <c r="D13" i="3"/>
</calcChain>
</file>

<file path=xl/sharedStrings.xml><?xml version="1.0" encoding="utf-8"?>
<sst xmlns="http://schemas.openxmlformats.org/spreadsheetml/2006/main" count="70" uniqueCount="38">
  <si>
    <t>Valeur du point</t>
  </si>
  <si>
    <t>Échelon</t>
  </si>
  <si>
    <t>Salaire brut annuel (€/an)</t>
  </si>
  <si>
    <r>
      <rPr>
        <b/>
        <sz val="9"/>
        <color rgb="FF51B8CC"/>
        <rFont val="Arial"/>
        <family val="2"/>
      </rPr>
      <t xml:space="preserve">Salaire brut mensuel lissé (€/mois </t>
    </r>
    <r>
      <rPr>
        <sz val="9"/>
        <color rgb="FF51B8CC"/>
        <rFont val="Arial"/>
        <family val="2"/>
      </rPr>
      <t>(18j)</t>
    </r>
    <r>
      <rPr>
        <b/>
        <sz val="9"/>
        <color rgb="FF51B8CC"/>
        <rFont val="Arial"/>
        <family val="2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</si>
  <si>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</si>
  <si>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</si>
  <si>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</si>
  <si>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</si>
  <si>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</si>
  <si>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t>Salaire brut mensuel (€/mois)</t>
  </si>
  <si>
    <t>Taux horaire brut (€/heure)</t>
  </si>
  <si>
    <t>Échelon 1 (élève non cadre)</t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</si>
  <si>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</si>
  <si>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</si>
  <si>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  <family val="2"/>
      </rPr>
      <t>Taux horaire (€/h)</t>
    </r>
    <r>
      <rPr>
        <sz val="9"/>
        <color rgb="FFFFFFFF"/>
        <rFont val="Arial"/>
        <family val="2"/>
      </rPr>
      <t xml:space="preserve"> des interventions pdt les astreintes dérangées (nuits, dimanches et j. feriés)</t>
    </r>
  </si>
  <si>
    <t>Attention aux arrondis au-dessus !</t>
  </si>
  <si>
    <t>Garde (nuit, dimanche et jours feriés) ou astreinte dérangée : taux horaire (€/h)</t>
  </si>
  <si>
    <t>Astreinte non dérangée : taux horaire (€/h)</t>
  </si>
  <si>
    <t>Échelon I</t>
  </si>
  <si>
    <t>Échelon II</t>
  </si>
  <si>
    <t>Échelon III</t>
  </si>
  <si>
    <t>Échelon IV</t>
  </si>
  <si>
    <t>Échelon V</t>
  </si>
  <si>
    <t>Contrat aux 39h (2020)</t>
  </si>
  <si>
    <t>Salaire brut mensuel (€/mois) (avec HS en jours de repos)</t>
  </si>
  <si>
    <t>Salaire brut mensuel (€/mois) (avec HS rémunérées)</t>
  </si>
  <si>
    <t>Nombre de CQP obtenus</t>
  </si>
  <si>
    <t>Échelon V + 0 CQP (Coef 120)</t>
  </si>
  <si>
    <t>Échelon V + 1 CQP (Coef 123)</t>
  </si>
  <si>
    <t>Échelon V + 2 CQP (Coef 126)</t>
  </si>
  <si>
    <t>Échelon V + 3 CQP (Coef 129)</t>
  </si>
  <si>
    <t>Échelon V + 4 CQP (Coef 132)</t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</si>
  <si>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2025</t>
    </r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</si>
  <si>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2025 pour un ASV échelon 5 en fonction des CQP obtenus</t>
    </r>
  </si>
  <si>
    <r>
      <rPr>
        <b/>
        <sz val="9"/>
        <color rgb="FFFFFFFF"/>
        <rFont val="Arial"/>
        <family val="2"/>
      </rPr>
      <t>Cadres autonomes au forfait annuel en jours (216 j) -</t>
    </r>
    <r>
      <rPr>
        <b/>
        <sz val="10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 xml:space="preserve">Salaires minimums conventionnels 2025 </t>
    </r>
  </si>
  <si>
    <r>
      <rPr>
        <b/>
        <sz val="9"/>
        <color rgb="FFFFFFFF"/>
        <rFont val="Trebuchet MS"/>
        <family val="2"/>
      </rPr>
      <t xml:space="preserve">Cadres intégrés : contrat en heures (35h) - </t>
    </r>
    <r>
      <rPr>
        <b/>
        <sz val="8"/>
        <color rgb="FFFFFFFF"/>
        <rFont val="Trebuchet MS"/>
        <family val="2"/>
      </rPr>
      <t>Salaires minimums conventionnels 2025</t>
    </r>
    <r>
      <rPr>
        <b/>
        <sz val="10"/>
        <color rgb="FFFFFFFF"/>
        <rFont val="Trebuchet MS"/>
        <family val="2"/>
      </rPr>
      <t xml:space="preserve"> </t>
    </r>
  </si>
  <si>
    <r>
      <t xml:space="preserve">Gardes et astreintes cadres autonomes au forfait jours - </t>
    </r>
    <r>
      <rPr>
        <b/>
        <sz val="8"/>
        <color rgb="FF51B8CC"/>
        <rFont val="Trebuchet MS"/>
        <family val="2"/>
      </rPr>
      <t>Salaires minimums conventionnels 2025</t>
    </r>
  </si>
  <si>
    <r>
      <rPr>
        <b/>
        <sz val="9"/>
        <color rgb="FF51B8CC"/>
        <rFont val="Arial"/>
        <family val="2"/>
      </rPr>
      <t xml:space="preserve">Gardes et astreintes cadres intégrés au contrat en heures - </t>
    </r>
    <r>
      <rPr>
        <b/>
        <sz val="8"/>
        <color rgb="FF51B8CC"/>
        <rFont val="Arial"/>
        <family val="2"/>
      </rPr>
      <t>Salaires minimums conventionnels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</si>
</sst>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</font>
    <font>
      <sz val="10"/>
      <name val="Trebuchet MS"/>
      <family val="2"/>
    </font>
    <font>
      <b/>
      <sz val="10"/>
      <color rgb="FFFEE819"/>
      <name val="Trebuchet MS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9"/>
      <color rgb="FF51B8CC"/>
      <name val="Arial"/>
      <family val="2"/>
    </font>
    <font>
      <sz val="9"/>
      <color rgb="FF51B8CC"/>
      <name val="Trebuchet MS"/>
      <family val="2"/>
    </font>
    <font>
      <sz val="9"/>
      <color rgb="FF51B8CC"/>
      <name val="Arial"/>
      <family val="2"/>
    </font>
    <font>
      <b/>
      <sz val="10"/>
      <color rgb="FFFEE819"/>
      <name val="Arial"/>
      <family val="2"/>
    </font>
    <font>
      <b/>
      <sz val="10"/>
      <color rgb="FF51B8CC"/>
      <name val="Arial"/>
      <family val="2"/>
    </font>
    <font>
      <b/>
      <sz val="10"/>
      <color rgb="FFFFFFFF"/>
      <name val="Trebuchet MS"/>
      <family val="2"/>
    </font>
    <font>
      <b/>
      <sz val="9"/>
      <color rgb="FF51B8CC"/>
      <name val="Trebuchet MS"/>
      <family val="2"/>
    </font>
    <font>
      <sz val="10"/>
      <color rgb="FF008080"/>
      <name val="Arial"/>
      <family val="2"/>
    </font>
    <font>
      <sz val="10"/>
      <color rgb="FF51B8CC"/>
      <name val="Arial"/>
      <family val="2"/>
    </font>
    <font>
      <sz val="9"/>
      <color rgb="FF008080"/>
      <name val="Trebuchet MS"/>
      <family val="2"/>
    </font>
    <font>
      <b/>
      <sz val="10"/>
      <color rgb="FF51B8CC"/>
      <name val="Trebuchet MS"/>
      <family val="2"/>
    </font>
    <font>
      <b/>
      <sz val="9"/>
      <color rgb="FFFFFFFF"/>
      <name val="Arial"/>
      <family val="2"/>
    </font>
    <font>
      <sz val="9"/>
      <color rgb="FF000000"/>
      <name val="Trebuchet MS"/>
      <family val="2"/>
    </font>
    <font>
      <sz val="9"/>
      <color rgb="FF000000"/>
      <name val="Arial"/>
      <family val="2"/>
    </font>
    <font>
      <sz val="10"/>
      <color rgb="FFFF9900"/>
      <name val="Arial"/>
      <family val="2"/>
    </font>
    <font>
      <sz val="8"/>
      <color rgb="FFFFFFFF"/>
      <name val="Arial"/>
      <family val="2"/>
    </font>
    <font>
      <b/>
      <sz val="9"/>
      <color rgb="FFFFFFFF"/>
      <name val="Trebuchet MS"/>
      <family val="2"/>
    </font>
    <font>
      <b/>
      <sz val="8"/>
      <color rgb="FFFFFFFF"/>
      <name val="Trebuchet MS"/>
      <family val="2"/>
    </font>
    <font>
      <b/>
      <sz val="8"/>
      <color rgb="FF51B8CC"/>
      <name val="Trebuchet MS"/>
      <family val="2"/>
    </font>
    <font>
      <sz val="9"/>
      <color rgb="FFFFFFFF"/>
      <name val="Arial"/>
      <family val="2"/>
    </font>
    <font>
      <b/>
      <sz val="8"/>
      <color rgb="FF51B8CC"/>
      <name val="Arial"/>
      <family val="2"/>
    </font>
    <font>
      <b/>
      <sz val="8"/>
      <color rgb="FFFFFFFF"/>
      <name val="Arial"/>
      <family val="2"/>
    </font>
    <font>
      <b/>
      <sz val="10"/>
      <color theme="0"/>
      <name val="Trebuchet MS"/>
      <family val="2"/>
    </font>
    <font>
      <b/>
      <sz val="9"/>
      <color rgb="FFB22F62"/>
      <name val="Arial"/>
      <family val="2"/>
    </font>
    <font>
      <sz val="10"/>
      <color rgb="FFB22F62"/>
      <name val="Arial"/>
      <family val="2"/>
    </font>
    <font>
      <b/>
      <sz val="9"/>
      <color theme="0"/>
      <name val="Arial"/>
      <family val="2"/>
    </font>
    <font>
      <b/>
      <sz val="10"/>
      <color rgb="FFFEE919"/>
      <name val="Arial"/>
      <family val="2"/>
    </font>
    <font>
      <sz val="9"/>
      <color rgb="FF51B9CD"/>
      <name val="Arial"/>
      <family val="2"/>
    </font>
    <font>
      <b/>
      <sz val="10"/>
      <color theme="0"/>
      <name val="Arial"/>
      <family val="2"/>
    </font>
    <font>
      <sz val="10"/>
      <color rgb="FFB32F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22F62"/>
        <bgColor indexed="64"/>
      </patternFill>
    </fill>
    <fill>
      <patternFill patternType="solid">
        <fgColor rgb="FFB22F62"/>
        <bgColor rgb="FFFF037E"/>
      </patternFill>
    </fill>
    <fill>
      <patternFill patternType="solid">
        <fgColor rgb="FF51B8CC"/>
        <bgColor indexed="64"/>
      </patternFill>
    </fill>
    <fill>
      <patternFill patternType="solid">
        <fgColor rgb="FF51B8CC"/>
        <bgColor rgb="FFFFFFFF"/>
      </patternFill>
    </fill>
    <fill>
      <patternFill patternType="solid">
        <fgColor rgb="FFFEE919"/>
        <bgColor rgb="FFFFFFFF"/>
      </patternFill>
    </fill>
    <fill>
      <patternFill patternType="solid">
        <fgColor rgb="FFFEE919"/>
        <bgColor indexed="64"/>
      </patternFill>
    </fill>
    <fill>
      <patternFill patternType="solid">
        <fgColor rgb="FF51B9CD"/>
        <bgColor rgb="FFFFFFFF"/>
      </patternFill>
    </fill>
    <fill>
      <patternFill patternType="solid">
        <fgColor rgb="FF51B9CD"/>
        <bgColor indexed="64"/>
      </patternFill>
    </fill>
    <fill>
      <patternFill patternType="solid">
        <fgColor rgb="FFB32F62"/>
        <bgColor indexed="64"/>
      </patternFill>
    </fill>
    <fill>
      <patternFill patternType="solid">
        <fgColor rgb="FFB32F62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28" fillId="5" borderId="0" xfId="0" applyFont="1" applyFill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4" fillId="0" borderId="1" xfId="0" applyFont="1" applyBorder="1"/>
    <xf numFmtId="0" fontId="3" fillId="6" borderId="7" xfId="0" applyFont="1" applyFill="1" applyBorder="1" applyAlignment="1">
      <alignment vertical="center" wrapText="1"/>
    </xf>
    <xf numFmtId="0" fontId="4" fillId="5" borderId="7" xfId="0" applyFont="1" applyFill="1" applyBorder="1"/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4" fontId="35" fillId="0" borderId="7" xfId="0" applyNumberFormat="1" applyFont="1" applyBorder="1" applyAlignment="1">
      <alignment horizontal="center" vertical="center" wrapText="1"/>
    </xf>
    <xf numFmtId="4" fontId="34" fillId="13" borderId="7" xfId="0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vertical="center" wrapText="1"/>
    </xf>
    <xf numFmtId="4" fontId="35" fillId="3" borderId="7" xfId="0" applyNumberFormat="1" applyFont="1" applyFill="1" applyBorder="1" applyAlignment="1">
      <alignment horizontal="center" vertical="center" wrapText="1"/>
    </xf>
    <xf numFmtId="4" fontId="34" fillId="14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7" xfId="0" applyBorder="1"/>
    <xf numFmtId="0" fontId="4" fillId="0" borderId="7" xfId="0" applyFont="1" applyBorder="1"/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4" fontId="32" fillId="11" borderId="7" xfId="0" applyNumberFormat="1" applyFont="1" applyFill="1" applyBorder="1" applyAlignment="1">
      <alignment horizontal="center" vertical="center" wrapText="1"/>
    </xf>
    <xf numFmtId="4" fontId="32" fillId="8" borderId="7" xfId="0" applyNumberFormat="1" applyFont="1" applyFill="1" applyBorder="1" applyAlignment="1">
      <alignment horizontal="center" vertical="center" wrapText="1"/>
    </xf>
    <xf numFmtId="4" fontId="10" fillId="9" borderId="7" xfId="0" applyNumberFormat="1" applyFont="1" applyFill="1" applyBorder="1" applyAlignment="1">
      <alignment horizontal="center" vertical="center" wrapText="1"/>
    </xf>
    <xf numFmtId="4" fontId="32" fillId="7" borderId="7" xfId="0" applyNumberFormat="1" applyFont="1" applyFill="1" applyBorder="1" applyAlignment="1">
      <alignment horizontal="center" vertical="center" wrapText="1"/>
    </xf>
    <xf numFmtId="4" fontId="10" fillId="10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4" fontId="32" fillId="12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9" fillId="1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2" fontId="32" fillId="1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2F62"/>
      <color rgb="FFFEE919"/>
      <color rgb="FF51B9CD"/>
      <color rgb="FFFCE718"/>
      <color rgb="FF51B8CC"/>
      <color rgb="FFB2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zoomScale="200" zoomScaleNormal="200" workbookViewId="0">
      <selection activeCell="G13" sqref="G13"/>
    </sheetView>
  </sheetViews>
  <sheetFormatPr baseColWidth="10" defaultColWidth="12.6640625" defaultRowHeight="15.75" customHeight="1" x14ac:dyDescent="0.15"/>
  <cols>
    <col min="1" max="1" width="18.33203125" customWidth="1"/>
    <col min="2" max="2" width="16.33203125" customWidth="1"/>
    <col min="3" max="3" width="14.6640625" bestFit="1" customWidth="1"/>
    <col min="4" max="4" width="16.33203125" bestFit="1" customWidth="1"/>
    <col min="5" max="5" width="17.33203125" bestFit="1" customWidth="1"/>
  </cols>
  <sheetData>
    <row r="1" spans="1:5" ht="14" x14ac:dyDescent="0.15">
      <c r="A1" s="1" t="s">
        <v>0</v>
      </c>
      <c r="B1" s="26">
        <v>17.75</v>
      </c>
      <c r="D1" s="1"/>
      <c r="E1" s="1"/>
    </row>
    <row r="2" spans="1:5" ht="14" thickBot="1" x14ac:dyDescent="0.2">
      <c r="A2" s="1"/>
      <c r="B2" s="1"/>
      <c r="C2" s="1"/>
      <c r="D2" s="1"/>
      <c r="E2" s="1"/>
    </row>
    <row r="3" spans="1:5" ht="33" customHeight="1" thickBot="1" x14ac:dyDescent="0.2">
      <c r="A3" s="2"/>
      <c r="B3" s="42" t="s">
        <v>34</v>
      </c>
      <c r="C3" s="43"/>
      <c r="D3" s="43"/>
      <c r="E3" s="44"/>
    </row>
    <row r="4" spans="1:5" ht="33" customHeight="1" thickBot="1" x14ac:dyDescent="0.2">
      <c r="A4" s="3"/>
      <c r="B4" s="45" t="s">
        <v>1</v>
      </c>
      <c r="C4" s="46" t="s">
        <v>2</v>
      </c>
      <c r="D4" s="46" t="s">
        <v>3</v>
      </c>
      <c r="E4" s="46" t="s">
        <v>4</v>
      </c>
    </row>
    <row r="5" spans="1:5" ht="27" thickBot="1" x14ac:dyDescent="0.2">
      <c r="A5" s="4"/>
      <c r="B5" s="47" t="s">
        <v>5</v>
      </c>
      <c r="C5" s="48">
        <f>2184*B1</f>
        <v>38766</v>
      </c>
      <c r="D5" s="49">
        <f t="shared" ref="D5:D8" si="0">C5/12</f>
        <v>3230.5</v>
      </c>
      <c r="E5" s="50">
        <f t="shared" ref="E5:E8" si="1">D5/18</f>
        <v>179.47222222222223</v>
      </c>
    </row>
    <row r="6" spans="1:5" ht="27" thickBot="1" x14ac:dyDescent="0.2">
      <c r="A6" s="4"/>
      <c r="B6" s="47" t="s">
        <v>6</v>
      </c>
      <c r="C6" s="49">
        <f>2616*B1</f>
        <v>46434</v>
      </c>
      <c r="D6" s="49">
        <f t="shared" si="0"/>
        <v>3869.5</v>
      </c>
      <c r="E6" s="50">
        <f t="shared" si="1"/>
        <v>214.97222222222223</v>
      </c>
    </row>
    <row r="7" spans="1:5" ht="27" thickBot="1" x14ac:dyDescent="0.2">
      <c r="A7" s="4"/>
      <c r="B7" s="47" t="s">
        <v>7</v>
      </c>
      <c r="C7" s="49">
        <f>3024*B1</f>
        <v>53676</v>
      </c>
      <c r="D7" s="49">
        <f t="shared" si="0"/>
        <v>4473</v>
      </c>
      <c r="E7" s="50">
        <f t="shared" si="1"/>
        <v>248.5</v>
      </c>
    </row>
    <row r="8" spans="1:5" ht="27" thickBot="1" x14ac:dyDescent="0.2">
      <c r="A8" s="4"/>
      <c r="B8" s="47" t="s">
        <v>8</v>
      </c>
      <c r="C8" s="51">
        <f>3456*B1</f>
        <v>61344</v>
      </c>
      <c r="D8" s="51">
        <f t="shared" si="0"/>
        <v>5112</v>
      </c>
      <c r="E8" s="52">
        <f t="shared" si="1"/>
        <v>284</v>
      </c>
    </row>
    <row r="9" spans="1:5" ht="14" thickBot="1" x14ac:dyDescent="0.2">
      <c r="A9" s="5"/>
      <c r="B9" s="5"/>
      <c r="C9" s="5"/>
      <c r="D9" s="5"/>
      <c r="E9" s="5"/>
    </row>
    <row r="10" spans="1:5" ht="33" customHeight="1" thickBot="1" x14ac:dyDescent="0.2">
      <c r="A10" s="6"/>
      <c r="B10" s="53" t="s">
        <v>35</v>
      </c>
      <c r="C10" s="44"/>
      <c r="D10" s="44"/>
      <c r="E10" s="44"/>
    </row>
    <row r="11" spans="1:5" ht="27" thickBot="1" x14ac:dyDescent="0.2">
      <c r="A11" s="3"/>
      <c r="B11" s="54" t="s">
        <v>1</v>
      </c>
      <c r="C11" s="55" t="s">
        <v>2</v>
      </c>
      <c r="D11" s="55" t="s">
        <v>9</v>
      </c>
      <c r="E11" s="55" t="s">
        <v>10</v>
      </c>
    </row>
    <row r="12" spans="1:5" ht="29" thickBot="1" x14ac:dyDescent="0.2">
      <c r="A12" s="7"/>
      <c r="B12" s="56" t="s">
        <v>11</v>
      </c>
      <c r="C12" s="57">
        <f>132*B1*12</f>
        <v>28116</v>
      </c>
      <c r="D12" s="57">
        <f>132*B1</f>
        <v>2343</v>
      </c>
      <c r="E12" s="52">
        <f t="shared" ref="E12:E16" si="2">D12/151.67</f>
        <v>15.448012131601505</v>
      </c>
    </row>
    <row r="13" spans="1:5" ht="27" thickBot="1" x14ac:dyDescent="0.2">
      <c r="A13" s="8"/>
      <c r="B13" s="58" t="s">
        <v>5</v>
      </c>
      <c r="C13" s="48">
        <f>152*B1*12</f>
        <v>32376</v>
      </c>
      <c r="D13" s="48">
        <f>152*B1</f>
        <v>2698</v>
      </c>
      <c r="E13" s="50">
        <f t="shared" si="2"/>
        <v>17.788620030329007</v>
      </c>
    </row>
    <row r="14" spans="1:5" ht="27" thickBot="1" x14ac:dyDescent="0.2">
      <c r="A14" s="8"/>
      <c r="B14" s="58" t="s">
        <v>6</v>
      </c>
      <c r="C14" s="48">
        <f>182*B1*12</f>
        <v>38766</v>
      </c>
      <c r="D14" s="48">
        <f>182*B1</f>
        <v>3230.5</v>
      </c>
      <c r="E14" s="50">
        <f t="shared" si="2"/>
        <v>21.299531878420257</v>
      </c>
    </row>
    <row r="15" spans="1:5" ht="27" thickBot="1" x14ac:dyDescent="0.2">
      <c r="A15" s="8"/>
      <c r="B15" s="58" t="s">
        <v>7</v>
      </c>
      <c r="C15" s="48">
        <f>210*B1*12</f>
        <v>44730</v>
      </c>
      <c r="D15" s="48">
        <f>210*B1</f>
        <v>3727.5</v>
      </c>
      <c r="E15" s="50">
        <f t="shared" si="2"/>
        <v>24.576382936638758</v>
      </c>
    </row>
    <row r="16" spans="1:5" ht="27" thickBot="1" x14ac:dyDescent="0.2">
      <c r="A16" s="8"/>
      <c r="B16" s="58" t="s">
        <v>8</v>
      </c>
      <c r="C16" s="57">
        <f>240*B1*12</f>
        <v>51120</v>
      </c>
      <c r="D16" s="57">
        <f>240*B1</f>
        <v>4260</v>
      </c>
      <c r="E16" s="52">
        <f t="shared" si="2"/>
        <v>28.087294784730009</v>
      </c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5.75" customHeight="1" x14ac:dyDescent="0.15">
      <c r="A19" s="5"/>
      <c r="B19" s="5"/>
      <c r="C19" s="5"/>
      <c r="D19" s="5"/>
      <c r="E19" s="5"/>
    </row>
    <row r="20" spans="1:5" ht="15.75" customHeight="1" x14ac:dyDescent="0.15">
      <c r="A20" s="5"/>
      <c r="B20" s="5"/>
      <c r="C20" s="5"/>
      <c r="D20" s="5"/>
      <c r="E20" s="5"/>
    </row>
    <row r="21" spans="1:5" ht="15.75" customHeight="1" x14ac:dyDescent="0.15">
      <c r="A21" s="5"/>
      <c r="B21" s="5"/>
      <c r="C21" s="5"/>
      <c r="D21" s="5"/>
      <c r="E21" s="5"/>
    </row>
    <row r="22" spans="1:5" ht="15.75" customHeight="1" x14ac:dyDescent="0.15">
      <c r="A22" s="5"/>
      <c r="B22" s="5"/>
      <c r="C22" s="5"/>
      <c r="D22" s="5"/>
      <c r="E22" s="5"/>
    </row>
    <row r="23" spans="1:5" ht="15.75" customHeight="1" x14ac:dyDescent="0.15">
      <c r="A23" s="5"/>
      <c r="B23" s="5"/>
      <c r="C23" s="5"/>
      <c r="D23" s="5"/>
      <c r="E23" s="5"/>
    </row>
    <row r="24" spans="1:5" ht="15.75" customHeight="1" x14ac:dyDescent="0.15">
      <c r="A24" s="5"/>
      <c r="B24" s="5"/>
      <c r="C24" s="5"/>
      <c r="D24" s="5"/>
      <c r="E24" s="5"/>
    </row>
    <row r="25" spans="1:5" ht="15.75" customHeight="1" x14ac:dyDescent="0.15">
      <c r="A25" s="5"/>
      <c r="B25" s="5"/>
      <c r="C25" s="5"/>
      <c r="D25" s="5"/>
      <c r="E25" s="5"/>
    </row>
    <row r="26" spans="1:5" ht="15.75" customHeight="1" x14ac:dyDescent="0.15">
      <c r="A26" s="5"/>
      <c r="B26" s="5"/>
      <c r="C26" s="5"/>
      <c r="D26" s="5"/>
      <c r="E26" s="5"/>
    </row>
    <row r="27" spans="1:5" ht="15.75" customHeight="1" x14ac:dyDescent="0.15">
      <c r="A27" s="5"/>
      <c r="B27" s="5"/>
      <c r="C27" s="5"/>
      <c r="D27" s="5"/>
      <c r="E27" s="5"/>
    </row>
    <row r="28" spans="1:5" ht="15.75" customHeight="1" x14ac:dyDescent="0.15">
      <c r="A28" s="5"/>
      <c r="B28" s="5"/>
      <c r="C28" s="5"/>
      <c r="D28" s="5"/>
      <c r="E28" s="5"/>
    </row>
    <row r="29" spans="1:5" ht="15.75" customHeight="1" x14ac:dyDescent="0.15">
      <c r="A29" s="5"/>
      <c r="B29" s="5"/>
      <c r="C29" s="5"/>
      <c r="D29" s="5"/>
      <c r="E29" s="5"/>
    </row>
    <row r="30" spans="1:5" ht="15.75" customHeight="1" x14ac:dyDescent="0.15">
      <c r="A30" s="5"/>
      <c r="B30" s="5"/>
      <c r="C30" s="5"/>
      <c r="D30" s="5"/>
      <c r="E30" s="5"/>
    </row>
    <row r="31" spans="1:5" ht="15.75" customHeight="1" x14ac:dyDescent="0.15">
      <c r="A31" s="5"/>
      <c r="B31" s="5"/>
      <c r="C31" s="5"/>
      <c r="D31" s="5"/>
      <c r="E31" s="5"/>
    </row>
    <row r="32" spans="1:5" ht="15.75" customHeight="1" x14ac:dyDescent="0.15">
      <c r="A32" s="5"/>
      <c r="B32" s="5"/>
      <c r="C32" s="5"/>
      <c r="D32" s="5"/>
      <c r="E32" s="5"/>
    </row>
    <row r="33" spans="1:5" ht="15.75" customHeight="1" x14ac:dyDescent="0.15">
      <c r="A33" s="5"/>
      <c r="B33" s="5"/>
      <c r="C33" s="5"/>
      <c r="D33" s="5"/>
      <c r="E33" s="5"/>
    </row>
    <row r="34" spans="1:5" ht="15.75" customHeight="1" x14ac:dyDescent="0.15">
      <c r="A34" s="5"/>
      <c r="B34" s="5"/>
      <c r="C34" s="5"/>
      <c r="D34" s="5"/>
      <c r="E34" s="5"/>
    </row>
    <row r="35" spans="1:5" ht="15.75" customHeight="1" x14ac:dyDescent="0.15">
      <c r="A35" s="5"/>
      <c r="B35" s="5"/>
      <c r="C35" s="5"/>
      <c r="D35" s="5"/>
      <c r="E35" s="5"/>
    </row>
    <row r="36" spans="1:5" ht="15.75" customHeight="1" x14ac:dyDescent="0.15">
      <c r="A36" s="5"/>
      <c r="B36" s="5"/>
      <c r="C36" s="5"/>
      <c r="D36" s="5"/>
      <c r="E36" s="5"/>
    </row>
    <row r="37" spans="1:5" ht="15.75" customHeight="1" x14ac:dyDescent="0.15">
      <c r="A37" s="5"/>
      <c r="B37" s="5"/>
      <c r="C37" s="5"/>
      <c r="D37" s="5"/>
      <c r="E37" s="5"/>
    </row>
    <row r="38" spans="1:5" ht="15.75" customHeight="1" x14ac:dyDescent="0.15">
      <c r="A38" s="5"/>
      <c r="B38" s="5"/>
      <c r="C38" s="5"/>
      <c r="D38" s="5"/>
      <c r="E38" s="5"/>
    </row>
    <row r="39" spans="1:5" ht="15.75" customHeight="1" x14ac:dyDescent="0.15">
      <c r="A39" s="5"/>
      <c r="B39" s="5"/>
      <c r="C39" s="5"/>
      <c r="D39" s="5"/>
      <c r="E39" s="5"/>
    </row>
    <row r="40" spans="1:5" ht="15.75" customHeight="1" x14ac:dyDescent="0.15">
      <c r="A40" s="5"/>
      <c r="B40" s="5"/>
      <c r="C40" s="5"/>
      <c r="D40" s="5"/>
      <c r="E40" s="5"/>
    </row>
    <row r="41" spans="1:5" ht="15.75" customHeight="1" x14ac:dyDescent="0.15">
      <c r="A41" s="5"/>
      <c r="B41" s="5"/>
      <c r="C41" s="5"/>
      <c r="D41" s="5"/>
      <c r="E41" s="5"/>
    </row>
    <row r="42" spans="1:5" ht="15.75" customHeight="1" x14ac:dyDescent="0.15">
      <c r="A42" s="5"/>
      <c r="B42" s="5"/>
      <c r="C42" s="5"/>
      <c r="D42" s="5"/>
      <c r="E42" s="5"/>
    </row>
    <row r="43" spans="1:5" ht="15.75" customHeight="1" x14ac:dyDescent="0.15">
      <c r="A43" s="5"/>
      <c r="B43" s="5"/>
      <c r="C43" s="5"/>
      <c r="D43" s="5"/>
      <c r="E43" s="5"/>
    </row>
    <row r="44" spans="1:5" ht="15.75" customHeight="1" x14ac:dyDescent="0.15">
      <c r="A44" s="5"/>
      <c r="B44" s="5"/>
      <c r="C44" s="5"/>
      <c r="D44" s="5"/>
      <c r="E44" s="5"/>
    </row>
    <row r="45" spans="1:5" ht="15.75" customHeight="1" x14ac:dyDescent="0.15">
      <c r="A45" s="5"/>
      <c r="B45" s="5"/>
      <c r="C45" s="5"/>
      <c r="D45" s="5"/>
      <c r="E45" s="5"/>
    </row>
    <row r="46" spans="1:5" ht="15.75" customHeight="1" x14ac:dyDescent="0.15">
      <c r="A46" s="5"/>
      <c r="B46" s="5"/>
      <c r="C46" s="5"/>
      <c r="D46" s="5"/>
      <c r="E46" s="5"/>
    </row>
    <row r="47" spans="1:5" ht="15.75" customHeight="1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tabSelected="1" zoomScale="200" zoomScaleNormal="200" workbookViewId="0">
      <selection activeCell="E9" sqref="E9"/>
    </sheetView>
  </sheetViews>
  <sheetFormatPr baseColWidth="10" defaultColWidth="12.6640625" defaultRowHeight="15.75" customHeight="1" x14ac:dyDescent="0.15"/>
  <cols>
    <col min="1" max="1" width="19.1640625" customWidth="1"/>
    <col min="2" max="2" width="20.83203125" customWidth="1"/>
    <col min="3" max="3" width="24" customWidth="1"/>
    <col min="4" max="4" width="23.6640625" customWidth="1"/>
    <col min="5" max="5" width="25.83203125" customWidth="1"/>
  </cols>
  <sheetData>
    <row r="1" spans="1:7" ht="14" x14ac:dyDescent="0.15">
      <c r="A1" s="1" t="s">
        <v>0</v>
      </c>
      <c r="B1" s="25">
        <f>'Grille des salaires vétos'!B1</f>
        <v>17.75</v>
      </c>
      <c r="D1" s="1"/>
      <c r="E1" s="1"/>
    </row>
    <row r="2" spans="1:7" ht="13" x14ac:dyDescent="0.15">
      <c r="A2" s="1"/>
      <c r="B2" s="1"/>
      <c r="C2" s="1"/>
      <c r="D2" s="1"/>
      <c r="E2" s="1"/>
    </row>
    <row r="3" spans="1:7" ht="14" thickBot="1" x14ac:dyDescent="0.2">
      <c r="A3" s="6"/>
      <c r="B3" s="27" t="s">
        <v>36</v>
      </c>
      <c r="C3" s="28"/>
      <c r="D3" s="28"/>
      <c r="E3" s="28"/>
    </row>
    <row r="4" spans="1:7" ht="53" thickBot="1" x14ac:dyDescent="0.2">
      <c r="A4" s="3"/>
      <c r="B4" s="59" t="s">
        <v>1</v>
      </c>
      <c r="C4" s="60" t="s">
        <v>12</v>
      </c>
      <c r="D4" s="60" t="s">
        <v>13</v>
      </c>
      <c r="E4" s="60" t="s">
        <v>14</v>
      </c>
    </row>
    <row r="5" spans="1:7" ht="26.25" customHeight="1" thickBot="1" x14ac:dyDescent="0.2">
      <c r="A5" s="9"/>
      <c r="B5" s="61" t="s">
        <v>5</v>
      </c>
      <c r="C5" s="62">
        <f>2.4*B1</f>
        <v>42.6</v>
      </c>
      <c r="D5" s="62">
        <f t="shared" ref="D5:D8" si="0">C5/2</f>
        <v>21.3</v>
      </c>
      <c r="E5" s="63">
        <f>'Grille des salaires vétos'!E13</f>
        <v>17.788620030329007</v>
      </c>
      <c r="G5" s="10" t="s">
        <v>15</v>
      </c>
    </row>
    <row r="6" spans="1:7" ht="27" customHeight="1" thickBot="1" x14ac:dyDescent="0.2">
      <c r="A6" s="9"/>
      <c r="B6" s="61" t="s">
        <v>6</v>
      </c>
      <c r="C6" s="62">
        <f>2.9*B1</f>
        <v>51.475000000000001</v>
      </c>
      <c r="D6" s="62">
        <f t="shared" si="0"/>
        <v>25.737500000000001</v>
      </c>
      <c r="E6" s="63">
        <f>'Grille des salaires vétos'!E14</f>
        <v>21.299531878420257</v>
      </c>
    </row>
    <row r="7" spans="1:7" ht="25.5" customHeight="1" thickBot="1" x14ac:dyDescent="0.2">
      <c r="A7" s="9"/>
      <c r="B7" s="61" t="s">
        <v>7</v>
      </c>
      <c r="C7" s="62">
        <f>3.4*B1</f>
        <v>60.35</v>
      </c>
      <c r="D7" s="62">
        <f t="shared" si="0"/>
        <v>30.175000000000001</v>
      </c>
      <c r="E7" s="63">
        <f>'Grille des salaires vétos'!E15</f>
        <v>24.576382936638758</v>
      </c>
    </row>
    <row r="8" spans="1:7" ht="25.5" customHeight="1" thickBot="1" x14ac:dyDescent="0.2">
      <c r="A8" s="9"/>
      <c r="B8" s="61" t="s">
        <v>8</v>
      </c>
      <c r="C8" s="62">
        <f>3.9*B1</f>
        <v>69.224999999999994</v>
      </c>
      <c r="D8" s="62">
        <f t="shared" si="0"/>
        <v>34.612499999999997</v>
      </c>
      <c r="E8" s="63">
        <f>'Grille des salaires vétos'!E16</f>
        <v>28.087294784730009</v>
      </c>
    </row>
    <row r="9" spans="1:7" ht="13" x14ac:dyDescent="0.15">
      <c r="A9" s="5"/>
      <c r="B9" s="5"/>
      <c r="C9" s="5"/>
      <c r="D9" s="5"/>
      <c r="E9" s="5"/>
    </row>
    <row r="10" spans="1:7" ht="14" thickBot="1" x14ac:dyDescent="0.2">
      <c r="A10" s="6"/>
      <c r="B10" s="29" t="s">
        <v>37</v>
      </c>
      <c r="C10" s="28"/>
      <c r="D10" s="28"/>
      <c r="E10" s="11"/>
    </row>
    <row r="11" spans="1:7" ht="40" thickBot="1" x14ac:dyDescent="0.2">
      <c r="A11" s="3"/>
      <c r="B11" s="64" t="s">
        <v>1</v>
      </c>
      <c r="C11" s="60" t="s">
        <v>16</v>
      </c>
      <c r="D11" s="60" t="s">
        <v>17</v>
      </c>
      <c r="E11" s="23"/>
    </row>
    <row r="12" spans="1:7" ht="26.25" customHeight="1" thickBot="1" x14ac:dyDescent="0.2">
      <c r="A12" s="12"/>
      <c r="B12" s="61" t="s">
        <v>11</v>
      </c>
      <c r="C12" s="65">
        <f>'Grille des salaires vétos'!E12*1.2</f>
        <v>18.537614557921806</v>
      </c>
      <c r="D12" s="62">
        <f>'Grille des salaires vétos'!E12*0.2</f>
        <v>3.089602426320301</v>
      </c>
      <c r="E12" s="23"/>
    </row>
    <row r="13" spans="1:7" ht="26.25" customHeight="1" thickBot="1" x14ac:dyDescent="0.2">
      <c r="A13" s="9"/>
      <c r="B13" s="61" t="s">
        <v>5</v>
      </c>
      <c r="C13" s="65">
        <f>'Grille des salaires vétos'!E13*1.2</f>
        <v>21.346344036394807</v>
      </c>
      <c r="D13" s="62">
        <f>'Grille des salaires vétos'!E13*0.2</f>
        <v>3.5577240060658015</v>
      </c>
      <c r="E13" s="23"/>
    </row>
    <row r="14" spans="1:7" ht="27" customHeight="1" thickBot="1" x14ac:dyDescent="0.2">
      <c r="A14" s="9"/>
      <c r="B14" s="61" t="s">
        <v>6</v>
      </c>
      <c r="C14" s="65">
        <f>'Grille des salaires vétos'!E14*1.2</f>
        <v>25.559438254104307</v>
      </c>
      <c r="D14" s="62">
        <f>'Grille des salaires vétos'!E14*0.2</f>
        <v>4.2599063756840518</v>
      </c>
      <c r="E14" s="23"/>
    </row>
    <row r="15" spans="1:7" ht="26.25" customHeight="1" thickBot="1" x14ac:dyDescent="0.2">
      <c r="A15" s="9"/>
      <c r="B15" s="61" t="s">
        <v>7</v>
      </c>
      <c r="C15" s="65">
        <f>'Grille des salaires vétos'!E15*1.2</f>
        <v>29.491659523966508</v>
      </c>
      <c r="D15" s="62">
        <f>'Grille des salaires vétos'!E15*0.2</f>
        <v>4.9152765873277522</v>
      </c>
      <c r="E15" s="23"/>
    </row>
    <row r="16" spans="1:7" ht="25.5" customHeight="1" thickBot="1" x14ac:dyDescent="0.2">
      <c r="A16" s="9"/>
      <c r="B16" s="61" t="s">
        <v>8</v>
      </c>
      <c r="C16" s="65">
        <f>'Grille des salaires vétos'!E16*1.2</f>
        <v>33.704753741676008</v>
      </c>
      <c r="D16" s="62">
        <f>'Grille des salaires vétos'!E16*0.2</f>
        <v>5.6174589569460025</v>
      </c>
      <c r="E16" s="23"/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3" x14ac:dyDescent="0.15">
      <c r="A19" s="5"/>
      <c r="B19" s="5"/>
      <c r="C19" s="5"/>
      <c r="D19" s="5"/>
      <c r="E19" s="5"/>
    </row>
    <row r="20" spans="1:5" ht="13" x14ac:dyDescent="0.15">
      <c r="A20" s="5"/>
      <c r="B20" s="5"/>
      <c r="C20" s="5"/>
      <c r="D20" s="5"/>
      <c r="E20" s="5"/>
    </row>
    <row r="21" spans="1:5" ht="13" x14ac:dyDescent="0.15">
      <c r="A21" s="5"/>
      <c r="B21" s="5"/>
      <c r="C21" s="5"/>
      <c r="D21" s="5"/>
      <c r="E21" s="5"/>
    </row>
    <row r="22" spans="1:5" ht="13" x14ac:dyDescent="0.15">
      <c r="A22" s="5"/>
      <c r="B22" s="5"/>
      <c r="C22" s="5"/>
      <c r="D22" s="5"/>
      <c r="E22" s="5"/>
    </row>
    <row r="23" spans="1:5" ht="13" x14ac:dyDescent="0.15">
      <c r="A23" s="5"/>
      <c r="B23" s="5"/>
      <c r="C23" s="5"/>
      <c r="D23" s="5"/>
      <c r="E23" s="5"/>
    </row>
    <row r="24" spans="1:5" ht="13" x14ac:dyDescent="0.15">
      <c r="A24" s="5"/>
      <c r="B24" s="5"/>
      <c r="C24" s="5"/>
      <c r="D24" s="5"/>
      <c r="E24" s="5"/>
    </row>
    <row r="25" spans="1:5" ht="13" x14ac:dyDescent="0.15">
      <c r="A25" s="5"/>
      <c r="B25" s="5"/>
      <c r="C25" s="5"/>
      <c r="D25" s="5"/>
      <c r="E25" s="5"/>
    </row>
    <row r="26" spans="1:5" ht="13" x14ac:dyDescent="0.15">
      <c r="A26" s="5"/>
      <c r="B26" s="5"/>
      <c r="C26" s="5"/>
      <c r="D26" s="5"/>
      <c r="E26" s="5"/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topLeftCell="A10" zoomScale="325" zoomScaleNormal="200" workbookViewId="0">
      <selection activeCell="F30" sqref="F30"/>
    </sheetView>
  </sheetViews>
  <sheetFormatPr baseColWidth="10" defaultColWidth="12.6640625" defaultRowHeight="15.75" customHeight="1" x14ac:dyDescent="0.15"/>
  <cols>
    <col min="1" max="2" width="13.83203125" customWidth="1"/>
    <col min="3" max="3" width="17.33203125" customWidth="1"/>
    <col min="4" max="4" width="17.83203125" customWidth="1"/>
    <col min="5" max="5" width="18.1640625" customWidth="1"/>
  </cols>
  <sheetData>
    <row r="1" spans="1:5" ht="14" x14ac:dyDescent="0.15">
      <c r="A1" s="1" t="s">
        <v>0</v>
      </c>
      <c r="B1" s="24">
        <f>'Grille des salaires vétos'!B1</f>
        <v>17.75</v>
      </c>
      <c r="D1" s="1"/>
      <c r="E1" s="1"/>
    </row>
    <row r="2" spans="1:5" ht="14" thickBot="1" x14ac:dyDescent="0.2">
      <c r="A2" s="1"/>
      <c r="B2" s="1"/>
      <c r="C2" s="1"/>
      <c r="D2" s="1"/>
      <c r="E2" s="1"/>
    </row>
    <row r="3" spans="1:5" ht="14" thickBot="1" x14ac:dyDescent="0.2">
      <c r="A3" s="6"/>
      <c r="B3" s="32" t="s">
        <v>32</v>
      </c>
      <c r="C3" s="33"/>
      <c r="D3" s="33"/>
      <c r="E3" s="33"/>
    </row>
    <row r="4" spans="1:5" ht="27" thickBot="1" x14ac:dyDescent="0.2">
      <c r="A4" s="3"/>
      <c r="B4" s="34" t="s">
        <v>1</v>
      </c>
      <c r="C4" s="35" t="s">
        <v>2</v>
      </c>
      <c r="D4" s="35" t="s">
        <v>9</v>
      </c>
      <c r="E4" s="35" t="s">
        <v>10</v>
      </c>
    </row>
    <row r="5" spans="1:5" ht="15" thickBot="1" x14ac:dyDescent="0.2">
      <c r="A5" s="13"/>
      <c r="B5" s="36" t="s">
        <v>18</v>
      </c>
      <c r="C5" s="37">
        <f>105*B1*12</f>
        <v>22365</v>
      </c>
      <c r="D5" s="37">
        <f>105*B1</f>
        <v>1863.75</v>
      </c>
      <c r="E5" s="38">
        <f t="shared" ref="E5:E9" si="0">D5/151.67</f>
        <v>12.288191468319379</v>
      </c>
    </row>
    <row r="6" spans="1:5" ht="15" thickBot="1" x14ac:dyDescent="0.2">
      <c r="A6" s="13"/>
      <c r="B6" s="39" t="s">
        <v>19</v>
      </c>
      <c r="C6" s="40">
        <f>108*B1*12</f>
        <v>23004</v>
      </c>
      <c r="D6" s="40">
        <f>108*B1</f>
        <v>1917</v>
      </c>
      <c r="E6" s="41">
        <f t="shared" si="0"/>
        <v>12.639282653128504</v>
      </c>
    </row>
    <row r="7" spans="1:5" ht="15" thickBot="1" x14ac:dyDescent="0.2">
      <c r="A7" s="13"/>
      <c r="B7" s="39" t="s">
        <v>20</v>
      </c>
      <c r="C7" s="40">
        <f>110*B1*12</f>
        <v>23430</v>
      </c>
      <c r="D7" s="40">
        <f>110*B1</f>
        <v>1952.5</v>
      </c>
      <c r="E7" s="41">
        <f t="shared" si="0"/>
        <v>12.873343443001254</v>
      </c>
    </row>
    <row r="8" spans="1:5" ht="15" thickBot="1" x14ac:dyDescent="0.2">
      <c r="A8" s="13"/>
      <c r="B8" s="39" t="s">
        <v>21</v>
      </c>
      <c r="C8" s="40">
        <f>113*B1*12</f>
        <v>24069</v>
      </c>
      <c r="D8" s="40">
        <f>113*B1</f>
        <v>2005.75</v>
      </c>
      <c r="E8" s="41">
        <f t="shared" si="0"/>
        <v>13.224434627810378</v>
      </c>
    </row>
    <row r="9" spans="1:5" ht="15" thickBot="1" x14ac:dyDescent="0.2">
      <c r="A9" s="13"/>
      <c r="B9" s="36" t="s">
        <v>22</v>
      </c>
      <c r="C9" s="37">
        <f>120*B1*12</f>
        <v>25560</v>
      </c>
      <c r="D9" s="37">
        <f>120*B1</f>
        <v>2130</v>
      </c>
      <c r="E9" s="38">
        <f t="shared" si="0"/>
        <v>14.043647392365004</v>
      </c>
    </row>
    <row r="10" spans="1:5" ht="13" x14ac:dyDescent="0.15">
      <c r="A10" s="5"/>
      <c r="B10" s="5"/>
      <c r="C10" s="5"/>
      <c r="D10" s="5"/>
      <c r="E10" s="5"/>
    </row>
    <row r="11" spans="1:5" ht="13" hidden="1" x14ac:dyDescent="0.15">
      <c r="A11" s="14"/>
      <c r="B11" s="30" t="s">
        <v>23</v>
      </c>
      <c r="C11" s="28"/>
      <c r="D11" s="31"/>
      <c r="E11" s="6"/>
    </row>
    <row r="12" spans="1:5" ht="39" hidden="1" x14ac:dyDescent="0.15">
      <c r="A12" s="3"/>
      <c r="B12" s="15" t="s">
        <v>1</v>
      </c>
      <c r="C12" s="16" t="s">
        <v>24</v>
      </c>
      <c r="D12" s="17" t="s">
        <v>25</v>
      </c>
    </row>
    <row r="13" spans="1:5" ht="14" hidden="1" x14ac:dyDescent="0.15">
      <c r="A13" s="13"/>
      <c r="B13" s="13" t="s">
        <v>18</v>
      </c>
      <c r="C13" s="18">
        <f>102*B1*39/35</f>
        <v>2017.4142857142858</v>
      </c>
      <c r="D13" s="19">
        <f>102*B1*40/35</f>
        <v>2069.1428571428573</v>
      </c>
    </row>
    <row r="14" spans="1:5" ht="14" hidden="1" x14ac:dyDescent="0.15">
      <c r="A14" s="13"/>
      <c r="B14" s="13" t="s">
        <v>19</v>
      </c>
      <c r="C14" s="18">
        <f>105*B1*39/35</f>
        <v>2076.75</v>
      </c>
      <c r="D14" s="19">
        <f>105*B1*40/35</f>
        <v>2130</v>
      </c>
    </row>
    <row r="15" spans="1:5" ht="14" hidden="1" x14ac:dyDescent="0.15">
      <c r="A15" s="13"/>
      <c r="B15" s="13" t="s">
        <v>20</v>
      </c>
      <c r="C15" s="18">
        <f>107*B1*39/35</f>
        <v>2116.3071428571429</v>
      </c>
      <c r="D15" s="19">
        <f>107*B1*40/35</f>
        <v>2170.5714285714284</v>
      </c>
    </row>
    <row r="16" spans="1:5" ht="14" hidden="1" x14ac:dyDescent="0.15">
      <c r="A16" s="13"/>
      <c r="B16" s="13" t="s">
        <v>21</v>
      </c>
      <c r="C16" s="18">
        <f>110*B1*39/35</f>
        <v>2175.6428571428573</v>
      </c>
      <c r="D16" s="19">
        <f>110*B1*40/35</f>
        <v>2231.4285714285716</v>
      </c>
    </row>
    <row r="17" spans="1:5" ht="14" hidden="1" x14ac:dyDescent="0.15">
      <c r="A17" s="13"/>
      <c r="B17" s="20" t="s">
        <v>22</v>
      </c>
      <c r="C17" s="21">
        <f>117*B1*39/35</f>
        <v>2314.0928571428572</v>
      </c>
      <c r="D17" s="22">
        <f>117*B1*40/35</f>
        <v>2373.4285714285716</v>
      </c>
    </row>
    <row r="18" spans="1:5" ht="13" x14ac:dyDescent="0.15">
      <c r="A18" s="5"/>
      <c r="B18" s="5"/>
      <c r="C18" s="5"/>
      <c r="D18" s="5"/>
      <c r="E18" s="5"/>
    </row>
    <row r="19" spans="1:5" ht="14" thickBot="1" x14ac:dyDescent="0.2">
      <c r="A19" s="5"/>
      <c r="B19" s="5"/>
      <c r="C19" s="5"/>
      <c r="D19" s="5"/>
      <c r="E19" s="5"/>
    </row>
    <row r="20" spans="1:5" ht="34" customHeight="1" thickBot="1" x14ac:dyDescent="0.2">
      <c r="A20" s="5"/>
      <c r="B20" s="32" t="s">
        <v>33</v>
      </c>
      <c r="C20" s="33"/>
      <c r="D20" s="33"/>
      <c r="E20" s="33"/>
    </row>
    <row r="21" spans="1:5" ht="27" thickBot="1" x14ac:dyDescent="0.2">
      <c r="A21" s="5"/>
      <c r="B21" s="34" t="s">
        <v>26</v>
      </c>
      <c r="C21" s="35" t="s">
        <v>2</v>
      </c>
      <c r="D21" s="35" t="s">
        <v>9</v>
      </c>
      <c r="E21" s="35" t="s">
        <v>10</v>
      </c>
    </row>
    <row r="22" spans="1:5" ht="29" thickBot="1" x14ac:dyDescent="0.2">
      <c r="A22" s="5"/>
      <c r="B22" s="36" t="s">
        <v>27</v>
      </c>
      <c r="C22" s="37">
        <f>120*B1*12</f>
        <v>25560</v>
      </c>
      <c r="D22" s="37">
        <f>120*B1</f>
        <v>2130</v>
      </c>
      <c r="E22" s="38">
        <f t="shared" ref="E22:E26" si="1">D22/151.67</f>
        <v>14.043647392365004</v>
      </c>
    </row>
    <row r="23" spans="1:5" ht="29" thickBot="1" x14ac:dyDescent="0.2">
      <c r="A23" s="5"/>
      <c r="B23" s="39" t="s">
        <v>28</v>
      </c>
      <c r="C23" s="40">
        <f>123*B1*12</f>
        <v>26199</v>
      </c>
      <c r="D23" s="40">
        <f>123*B1</f>
        <v>2183.25</v>
      </c>
      <c r="E23" s="41">
        <f t="shared" si="1"/>
        <v>14.394738577174129</v>
      </c>
    </row>
    <row r="24" spans="1:5" ht="29" thickBot="1" x14ac:dyDescent="0.2">
      <c r="A24" s="5"/>
      <c r="B24" s="39" t="s">
        <v>29</v>
      </c>
      <c r="C24" s="40">
        <f>126*B1*12</f>
        <v>26838</v>
      </c>
      <c r="D24" s="40">
        <f>126*B1</f>
        <v>2236.5</v>
      </c>
      <c r="E24" s="41">
        <f t="shared" si="1"/>
        <v>14.745829761983254</v>
      </c>
    </row>
    <row r="25" spans="1:5" ht="29" thickBot="1" x14ac:dyDescent="0.2">
      <c r="A25" s="5"/>
      <c r="B25" s="39" t="s">
        <v>30</v>
      </c>
      <c r="C25" s="40">
        <f>129*B1*12</f>
        <v>27477</v>
      </c>
      <c r="D25" s="40">
        <f>129*B1</f>
        <v>2289.75</v>
      </c>
      <c r="E25" s="41">
        <f t="shared" si="1"/>
        <v>15.096920946792379</v>
      </c>
    </row>
    <row r="26" spans="1:5" ht="29" thickBot="1" x14ac:dyDescent="0.2">
      <c r="A26" s="5"/>
      <c r="B26" s="39" t="s">
        <v>31</v>
      </c>
      <c r="C26" s="37">
        <f>132*B1*12</f>
        <v>28116</v>
      </c>
      <c r="D26" s="37">
        <f>132*B1</f>
        <v>2343</v>
      </c>
      <c r="E26" s="38">
        <f t="shared" si="1"/>
        <v>15.448012131601505</v>
      </c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</sheetData>
  <sheetProtection sheet="1" objects="1" scenarios="1"/>
  <mergeCells count="3">
    <mergeCell ref="B3:E3"/>
    <mergeCell ref="B11:D11"/>
    <mergeCell ref="B20:E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DF56B9FA2734F8D7457C252DD45D8" ma:contentTypeVersion="13" ma:contentTypeDescription="Crée un document." ma:contentTypeScope="" ma:versionID="4c50481b4cf4bf4d970bc1d8f73e3adb">
  <xsd:schema xmlns:xsd="http://www.w3.org/2001/XMLSchema" xmlns:xs="http://www.w3.org/2001/XMLSchema" xmlns:p="http://schemas.microsoft.com/office/2006/metadata/properties" xmlns:ns2="58e97ff2-b40f-4b77-815b-1a5daef0283e" xmlns:ns3="2ee61af6-8a6b-47fb-bdcf-caa97937c822" targetNamespace="http://schemas.microsoft.com/office/2006/metadata/properties" ma:root="true" ma:fieldsID="d36a0bde3f09b2fedb6667118b53e718" ns2:_="" ns3:_="">
    <xsd:import namespace="58e97ff2-b40f-4b77-815b-1a5daef0283e"/>
    <xsd:import namespace="2ee61af6-8a6b-47fb-bdcf-caa97937c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7ff2-b40f-4b77-815b-1a5daef02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c579adc-c3fb-4b30-bef4-3439d04bdc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61af6-8a6b-47fb-bdcf-caa97937c82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20d261-6c0f-4296-979e-4aa7180f41f7}" ma:internalName="TaxCatchAll" ma:showField="CatchAllData" ma:web="2ee61af6-8a6b-47fb-bdcf-caa97937c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7ff2-b40f-4b77-815b-1a5daef0283e">
      <Terms xmlns="http://schemas.microsoft.com/office/infopath/2007/PartnerControls"/>
    </lcf76f155ced4ddcb4097134ff3c332f>
    <TaxCatchAll xmlns="2ee61af6-8a6b-47fb-bdcf-caa97937c822" xsi:nil="true"/>
  </documentManagement>
</p:properties>
</file>

<file path=customXml/itemProps1.xml><?xml version="1.0" encoding="utf-8"?>
<ds:datastoreItem xmlns:ds="http://schemas.openxmlformats.org/officeDocument/2006/customXml" ds:itemID="{CAB54D7C-9B74-43F3-BD56-17C131DA2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7ff2-b40f-4b77-815b-1a5daef0283e"/>
    <ds:schemaRef ds:uri="2ee61af6-8a6b-47fb-bdcf-caa97937c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F860A-DC32-4FF4-BC2C-A2CB52C85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00643-3D80-4423-8CDD-16525288BC6B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58e97ff2-b40f-4b77-815b-1a5daef0283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e61af6-8a6b-47fb-bdcf-caa97937c8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 des salaires vétos</vt:lpstr>
      <vt:lpstr>Gardes et astreintes</vt:lpstr>
      <vt:lpstr>Grille des salaires ASV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Manuelle HOORNAERT</cp:lastModifiedBy>
  <cp:revision/>
  <dcterms:created xsi:type="dcterms:W3CDTF">2022-09-27T08:59:32Z</dcterms:created>
  <dcterms:modified xsi:type="dcterms:W3CDTF">2024-12-03T11:09:03Z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0x010100C60DF56B9FA2734F8D7457C252DD45D8</vt:lpwstr>
  </property>
  <property fmtid="{D5CDD505-2E9C-101B-9397-08002B2CF9AE}" pid="3" name="MediaServiceImageTags">
    <vt:lpwstr/>
  </property>
</Properties>
</file>